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<sst xmlns="http://schemas.openxmlformats.org/spreadsheetml/2006/main" count="985" uniqueCount="275">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</sst>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86" sqref="I8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274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237504.99</v>
      </c>
      <c r="G8" s="18">
        <f aca="true" t="shared" si="0" ref="G8:G32">F8-E8</f>
        <v>13979.290000000008</v>
      </c>
      <c r="H8" s="45">
        <f>F8/E8*100</f>
        <v>106.25399674399858</v>
      </c>
      <c r="I8" s="31">
        <f aca="true" t="shared" si="1" ref="I8:I32">F8-D8</f>
        <v>-279924.01</v>
      </c>
      <c r="J8" s="31">
        <f aca="true" t="shared" si="2" ref="J8:J14">F8/D8*100</f>
        <v>45.90098158394678</v>
      </c>
      <c r="K8" s="18">
        <f>K9+K15+K18+K19+K20+K32</f>
        <v>41856.070000000014</v>
      </c>
      <c r="L8" s="18"/>
      <c r="M8" s="18">
        <f>M9+M15+M18+M19+M20+M32+M17</f>
        <v>46130.770000000004</v>
      </c>
      <c r="N8" s="18">
        <f>N9+N15+N18+N19+N20+N32+N17</f>
        <v>38967.84</v>
      </c>
      <c r="O8" s="31">
        <f aca="true" t="shared" si="3" ref="O8:O32">N8-M8</f>
        <v>-7162.930000000008</v>
      </c>
      <c r="P8" s="31">
        <f>F8/M8*100</f>
        <v>514.8515622002407</v>
      </c>
      <c r="Q8" s="31">
        <f>N8-33748.16</f>
        <v>5219.679999999993</v>
      </c>
      <c r="R8" s="125">
        <f>N8/33748.16</f>
        <v>1.1546656173255072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131869.69</v>
      </c>
      <c r="G9" s="43">
        <f t="shared" si="0"/>
        <v>4057.040000000008</v>
      </c>
      <c r="H9" s="35">
        <f aca="true" t="shared" si="4" ref="H9:H32">F9/E9*100</f>
        <v>103.17420849970642</v>
      </c>
      <c r="I9" s="50">
        <f t="shared" si="1"/>
        <v>-180820.31</v>
      </c>
      <c r="J9" s="50">
        <f t="shared" si="2"/>
        <v>42.172659822827725</v>
      </c>
      <c r="K9" s="132">
        <f>F9-148760.15/75*60</f>
        <v>12861.570000000007</v>
      </c>
      <c r="L9" s="132">
        <f>F9/(148760.15/75*60)*100</f>
        <v>110.8073045772003</v>
      </c>
      <c r="M9" s="35">
        <f>E9-квітень!E10</f>
        <v>26164.67</v>
      </c>
      <c r="N9" s="35">
        <f>F9-квітень!F10</f>
        <v>21104.040000000008</v>
      </c>
      <c r="O9" s="47">
        <f t="shared" si="3"/>
        <v>-5060.62999999999</v>
      </c>
      <c r="P9" s="50">
        <f aca="true" t="shared" si="5" ref="P9:P32">N9/M9*100</f>
        <v>80.65853687434242</v>
      </c>
      <c r="Q9" s="132">
        <f>N9-26568.11</f>
        <v>-5464.069999999992</v>
      </c>
      <c r="R9" s="133">
        <f>N9/26568.11</f>
        <v>0.7943372712624273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116231.85</v>
      </c>
      <c r="G10" s="135">
        <f t="shared" si="0"/>
        <v>3609.600000000006</v>
      </c>
      <c r="H10" s="137">
        <f t="shared" si="4"/>
        <v>103.2050505117772</v>
      </c>
      <c r="I10" s="136">
        <f t="shared" si="1"/>
        <v>-124178.15</v>
      </c>
      <c r="J10" s="136">
        <f t="shared" si="2"/>
        <v>48.34734412046088</v>
      </c>
      <c r="K10" s="138">
        <f>F10-134812.74/75*60</f>
        <v>8381.65800000001</v>
      </c>
      <c r="L10" s="138">
        <f>F10/(134812.74/75*60)*100</f>
        <v>107.77157448175893</v>
      </c>
      <c r="M10" s="137">
        <f>E10-квітень!E11</f>
        <v>23050.67</v>
      </c>
      <c r="N10" s="137">
        <f>F10-квітень!F11</f>
        <v>17880.540000000008</v>
      </c>
      <c r="O10" s="138">
        <f t="shared" si="3"/>
        <v>-5170.12999999999</v>
      </c>
      <c r="P10" s="136">
        <f t="shared" si="5"/>
        <v>77.57058688532702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7696.2</v>
      </c>
      <c r="G11" s="135">
        <f t="shared" si="0"/>
        <v>-1261.8000000000002</v>
      </c>
      <c r="H11" s="137">
        <f t="shared" si="4"/>
        <v>85.91426657736102</v>
      </c>
      <c r="I11" s="136">
        <f t="shared" si="1"/>
        <v>-16003.8</v>
      </c>
      <c r="J11" s="136">
        <f t="shared" si="2"/>
        <v>32.473417721518985</v>
      </c>
      <c r="K11" s="138">
        <f>F11-9052.89/75*60</f>
        <v>453.8879999999999</v>
      </c>
      <c r="L11" s="138">
        <f>F11/(9052.89/75*60)*100</f>
        <v>106.26716993136998</v>
      </c>
      <c r="M11" s="137">
        <f>E11-квітень!E12</f>
        <v>2010</v>
      </c>
      <c r="N11" s="137">
        <f>F11-квітень!F12</f>
        <v>1394.7399999999998</v>
      </c>
      <c r="O11" s="138">
        <f t="shared" si="3"/>
        <v>-615.2600000000002</v>
      </c>
      <c r="P11" s="136">
        <f t="shared" si="5"/>
        <v>69.39004975124377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2108.67</v>
      </c>
      <c r="G12" s="135">
        <f t="shared" si="0"/>
        <v>-60.32999999999993</v>
      </c>
      <c r="H12" s="137">
        <f t="shared" si="4"/>
        <v>97.21853388658369</v>
      </c>
      <c r="I12" s="136">
        <f t="shared" si="1"/>
        <v>-3691.33</v>
      </c>
      <c r="J12" s="136">
        <f t="shared" si="2"/>
        <v>36.35637931034483</v>
      </c>
      <c r="K12" s="138">
        <f>F12-2098.76/75*60</f>
        <v>429.66200000000003</v>
      </c>
      <c r="L12" s="138">
        <f>F12/(2098.76/75*60)*100</f>
        <v>125.59022946882921</v>
      </c>
      <c r="M12" s="137">
        <f>E12-квітень!E13</f>
        <v>450</v>
      </c>
      <c r="N12" s="137">
        <f>F12-квітень!F13</f>
        <v>390.43000000000006</v>
      </c>
      <c r="O12" s="138">
        <f t="shared" si="3"/>
        <v>-59.569999999999936</v>
      </c>
      <c r="P12" s="136">
        <f t="shared" si="5"/>
        <v>86.76222222222223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2188.32</v>
      </c>
      <c r="G13" s="135">
        <f t="shared" si="0"/>
        <v>-231.07999999999993</v>
      </c>
      <c r="H13" s="137">
        <f t="shared" si="4"/>
        <v>90.44887162106308</v>
      </c>
      <c r="I13" s="136">
        <f t="shared" si="1"/>
        <v>-6211.68</v>
      </c>
      <c r="J13" s="136">
        <f t="shared" si="2"/>
        <v>26.051428571428577</v>
      </c>
      <c r="K13" s="138">
        <f>F13-2795.76/75*60</f>
        <v>-48.28800000000001</v>
      </c>
      <c r="L13" s="138">
        <f>F13/(2795.76/75*60)*100</f>
        <v>97.84101639625719</v>
      </c>
      <c r="M13" s="137">
        <f>E13-квітень!E14</f>
        <v>264</v>
      </c>
      <c r="N13" s="137">
        <f>F13-квітень!F14</f>
        <v>525.5500000000002</v>
      </c>
      <c r="O13" s="138">
        <f t="shared" si="3"/>
        <v>261.5500000000002</v>
      </c>
      <c r="P13" s="136">
        <f t="shared" si="5"/>
        <v>199.07196969696977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18801.06</v>
      </c>
      <c r="G19" s="43">
        <f t="shared" si="0"/>
        <v>3018.3100000000013</v>
      </c>
      <c r="H19" s="35">
        <f t="shared" si="4"/>
        <v>119.12410701557081</v>
      </c>
      <c r="I19" s="50">
        <f t="shared" si="1"/>
        <v>-11148.939999999999</v>
      </c>
      <c r="J19" s="178">
        <f>F19/D19*100</f>
        <v>62.77482470784641</v>
      </c>
      <c r="K19" s="179">
        <f>F19-0</f>
        <v>18801.06</v>
      </c>
      <c r="L19" s="180"/>
      <c r="M19" s="35">
        <f>E19-квітень!E34</f>
        <v>3120</v>
      </c>
      <c r="N19" s="35">
        <f>F19-квітень!F34</f>
        <v>2443.4400000000005</v>
      </c>
      <c r="O19" s="47">
        <f t="shared" si="3"/>
        <v>-676.5599999999995</v>
      </c>
      <c r="P19" s="50">
        <f t="shared" si="5"/>
        <v>78.31538461538463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83679.43999999999</v>
      </c>
      <c r="G20" s="43">
        <f t="shared" si="0"/>
        <v>7927.839999999982</v>
      </c>
      <c r="H20" s="35">
        <f t="shared" si="4"/>
        <v>110.4655743245027</v>
      </c>
      <c r="I20" s="50">
        <f t="shared" si="1"/>
        <v>-83090.56000000001</v>
      </c>
      <c r="J20" s="178">
        <f aca="true" t="shared" si="6" ref="J20:J32">F20/D20*100</f>
        <v>50.17655453618756</v>
      </c>
      <c r="K20" s="178">
        <f>K21+K25+K26+K27</f>
        <v>12979.880000000001</v>
      </c>
      <c r="L20" s="136"/>
      <c r="M20" s="35">
        <f>E20-квітень!E35</f>
        <v>14846.100000000006</v>
      </c>
      <c r="N20" s="35">
        <f>F20-квітень!F35</f>
        <v>13385.299999999988</v>
      </c>
      <c r="O20" s="47">
        <f t="shared" si="3"/>
        <v>-1460.8000000000175</v>
      </c>
      <c r="P20" s="50">
        <f t="shared" si="5"/>
        <v>90.1603788200267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41271.869999999995</v>
      </c>
      <c r="G21" s="43">
        <f t="shared" si="0"/>
        <v>1357.7699999999968</v>
      </c>
      <c r="H21" s="35">
        <f t="shared" si="4"/>
        <v>103.40173021563808</v>
      </c>
      <c r="I21" s="50">
        <f t="shared" si="1"/>
        <v>-56928.130000000005</v>
      </c>
      <c r="J21" s="178">
        <f t="shared" si="6"/>
        <v>42.028380855397145</v>
      </c>
      <c r="K21" s="178">
        <f>K22+K23+K24</f>
        <v>8437.61</v>
      </c>
      <c r="L21" s="136"/>
      <c r="M21" s="35">
        <f>E21-квітень!E36</f>
        <v>8061.0999999999985</v>
      </c>
      <c r="N21" s="35">
        <f>F21-квітень!F36</f>
        <v>3987.969999999994</v>
      </c>
      <c r="O21" s="47">
        <f t="shared" si="3"/>
        <v>-4073.1300000000047</v>
      </c>
      <c r="P21" s="50">
        <f t="shared" si="5"/>
        <v>49.47178424780731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4328.22</v>
      </c>
      <c r="G22" s="135">
        <f t="shared" si="0"/>
        <v>4052.1200000000003</v>
      </c>
      <c r="H22" s="137">
        <f t="shared" si="4"/>
        <v>1567.6276711336473</v>
      </c>
      <c r="I22" s="136">
        <f t="shared" si="1"/>
        <v>3328.2200000000003</v>
      </c>
      <c r="J22" s="136">
        <f t="shared" si="6"/>
        <v>432.822</v>
      </c>
      <c r="K22" s="136">
        <f>F22-129.75</f>
        <v>4198.47</v>
      </c>
      <c r="L22" s="136">
        <f>F22/129.75*100</f>
        <v>3335.8150289017344</v>
      </c>
      <c r="M22" s="137">
        <f>E22-квітень!E37</f>
        <v>5.100000000000023</v>
      </c>
      <c r="N22" s="137">
        <f>F22-квітень!F37</f>
        <v>109.15000000000055</v>
      </c>
      <c r="O22" s="138">
        <f t="shared" si="3"/>
        <v>104.05000000000052</v>
      </c>
      <c r="P22" s="136">
        <f t="shared" si="5"/>
        <v>2140.1960784313737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36770.56</v>
      </c>
      <c r="G24" s="135">
        <f t="shared" si="0"/>
        <v>-2617.4400000000023</v>
      </c>
      <c r="H24" s="137">
        <f t="shared" si="4"/>
        <v>93.35472732812023</v>
      </c>
      <c r="I24" s="136">
        <f t="shared" si="1"/>
        <v>-58929.44</v>
      </c>
      <c r="J24" s="136">
        <f t="shared" si="6"/>
        <v>38.42273772204807</v>
      </c>
      <c r="K24" s="139">
        <f>F24-32704.51</f>
        <v>4066.0499999999993</v>
      </c>
      <c r="L24" s="139">
        <f>F24/32704.51*100</f>
        <v>112.4326889471819</v>
      </c>
      <c r="M24" s="137">
        <f>E24-квітень!E39</f>
        <v>8056</v>
      </c>
      <c r="N24" s="137">
        <f>F24-квітень!F39</f>
        <v>3847.449999999997</v>
      </c>
      <c r="O24" s="138">
        <f t="shared" si="3"/>
        <v>-4208.550000000003</v>
      </c>
      <c r="P24" s="136">
        <f t="shared" si="5"/>
        <v>47.758813306852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-115.17</v>
      </c>
      <c r="G26" s="43">
        <f t="shared" si="0"/>
        <v>-115.17</v>
      </c>
      <c r="H26" s="35"/>
      <c r="I26" s="50">
        <f t="shared" si="1"/>
        <v>-115.17</v>
      </c>
      <c r="J26" s="136"/>
      <c r="K26" s="178">
        <f>F26-2664.98</f>
        <v>-2780.15</v>
      </c>
      <c r="L26" s="178">
        <f>F26/2664.98*100</f>
        <v>-4.321608417323958</v>
      </c>
      <c r="M26" s="35">
        <f>E26-квітень!E41</f>
        <v>0</v>
      </c>
      <c r="N26" s="35">
        <f>F26-квітень!F41</f>
        <v>-55.93</v>
      </c>
      <c r="O26" s="47">
        <f t="shared" si="3"/>
        <v>-55.93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42489.54</v>
      </c>
      <c r="G27" s="43">
        <f t="shared" si="0"/>
        <v>6669.540000000001</v>
      </c>
      <c r="H27" s="35">
        <f t="shared" si="4"/>
        <v>118.61959798994974</v>
      </c>
      <c r="I27" s="50">
        <f t="shared" si="1"/>
        <v>-26010.46</v>
      </c>
      <c r="J27" s="178">
        <f t="shared" si="6"/>
        <v>62.028525547445255</v>
      </c>
      <c r="K27" s="132">
        <f>F27-35174.22</f>
        <v>7315.32</v>
      </c>
      <c r="L27" s="132">
        <f>F27/35174.22*100</f>
        <v>120.7973908163422</v>
      </c>
      <c r="M27" s="35">
        <f>E27-квітень!E42</f>
        <v>6780</v>
      </c>
      <c r="N27" s="35">
        <f>F27-квітень!F42</f>
        <v>9443.220000000001</v>
      </c>
      <c r="O27" s="47">
        <f t="shared" si="3"/>
        <v>2663.220000000001</v>
      </c>
      <c r="P27" s="50">
        <f t="shared" si="5"/>
        <v>139.28053097345133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10736.53</v>
      </c>
      <c r="G29" s="135">
        <f t="shared" si="0"/>
        <v>1596.5300000000007</v>
      </c>
      <c r="H29" s="137">
        <f t="shared" si="4"/>
        <v>117.46750547045951</v>
      </c>
      <c r="I29" s="136">
        <f t="shared" si="1"/>
        <v>-5763.469999999999</v>
      </c>
      <c r="J29" s="136">
        <f t="shared" si="6"/>
        <v>65.06987878787879</v>
      </c>
      <c r="K29" s="139">
        <f>F29-9886.89</f>
        <v>849.6400000000012</v>
      </c>
      <c r="L29" s="139">
        <f>F29/9886.89*100</f>
        <v>108.59360223487873</v>
      </c>
      <c r="M29" s="137">
        <f>E29-квітень!E44</f>
        <v>2500</v>
      </c>
      <c r="N29" s="137">
        <f>F29-квітень!F44</f>
        <v>2554.120000000001</v>
      </c>
      <c r="O29" s="138">
        <f t="shared" si="3"/>
        <v>54.1200000000008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31748.47</v>
      </c>
      <c r="G30" s="135">
        <f t="shared" si="0"/>
        <v>5068.470000000001</v>
      </c>
      <c r="H30" s="137">
        <f t="shared" si="4"/>
        <v>118.99726386806597</v>
      </c>
      <c r="I30" s="136">
        <f t="shared" si="1"/>
        <v>-20251.53</v>
      </c>
      <c r="J30" s="136">
        <f t="shared" si="6"/>
        <v>61.05475</v>
      </c>
      <c r="K30" s="139">
        <f>F30-25287.05</f>
        <v>6461.420000000002</v>
      </c>
      <c r="L30" s="139">
        <f>F30/25287.05*100</f>
        <v>125.55228862204173</v>
      </c>
      <c r="M30" s="137">
        <f>E30-квітень!E45</f>
        <v>4280</v>
      </c>
      <c r="N30" s="137">
        <f>F30-квітень!F45</f>
        <v>6889.110000000001</v>
      </c>
      <c r="O30" s="138">
        <f t="shared" si="3"/>
        <v>2609.1100000000006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5.75</v>
      </c>
      <c r="G31" s="135">
        <f t="shared" si="0"/>
        <v>5.75</v>
      </c>
      <c r="H31" s="137"/>
      <c r="I31" s="136">
        <f t="shared" si="1"/>
        <v>5.75</v>
      </c>
      <c r="J31" s="136"/>
      <c r="K31" s="139">
        <f>F31-0</f>
        <v>5.75</v>
      </c>
      <c r="L31" s="139"/>
      <c r="M31" s="137">
        <f>E31-квітень!E46</f>
        <v>0</v>
      </c>
      <c r="N31" s="137">
        <f>F31-квітень!F46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4019.65</v>
      </c>
      <c r="G32" s="43">
        <f t="shared" si="0"/>
        <v>25.15000000000009</v>
      </c>
      <c r="H32" s="35">
        <f t="shared" si="4"/>
        <v>100.62961572161721</v>
      </c>
      <c r="I32" s="50">
        <f t="shared" si="1"/>
        <v>-3480.35</v>
      </c>
      <c r="J32" s="178">
        <f t="shared" si="6"/>
        <v>53.595333333333336</v>
      </c>
      <c r="K32" s="178">
        <f>F32-5292.86</f>
        <v>-1273.2099999999996</v>
      </c>
      <c r="L32" s="178">
        <f>F32/2618.43*100</f>
        <v>153.5137467871969</v>
      </c>
      <c r="M32" s="35">
        <f>E32-квітень!E47</f>
        <v>2000</v>
      </c>
      <c r="N32" s="35">
        <f>F32-квітень!F47</f>
        <v>2005.5500000000002</v>
      </c>
      <c r="O32" s="47">
        <f t="shared" si="3"/>
        <v>5.550000000000182</v>
      </c>
      <c r="P32" s="50">
        <f t="shared" si="5"/>
        <v>100.27750000000002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12625.34</v>
      </c>
      <c r="G33" s="44">
        <f aca="true" t="shared" si="7" ref="G33:G54">F33-E33</f>
        <v>7462.34</v>
      </c>
      <c r="H33" s="45">
        <f>F33/E33*100</f>
        <v>244.53496029440248</v>
      </c>
      <c r="I33" s="31">
        <f aca="true" t="shared" si="8" ref="I33:I54">F33-D33</f>
        <v>58.23999999999978</v>
      </c>
      <c r="J33" s="31">
        <f aca="true" t="shared" si="9" ref="J33:J46">F33/D33*100</f>
        <v>100.46343229543808</v>
      </c>
      <c r="K33" s="18">
        <f>K34+K35+K36+K37+K38+K41+K42+K47+K48+K52+K40</f>
        <v>7275.049999999999</v>
      </c>
      <c r="L33" s="18"/>
      <c r="M33" s="18">
        <f>M34+M35+M36+M37+M38+M41+M42+M47+M48+M52+M40+M39</f>
        <v>1074.5</v>
      </c>
      <c r="N33" s="18">
        <f>N34+N35+N36+N37+N38+N41+N42+N47+N48+N52+N40+N39</f>
        <v>2191.74</v>
      </c>
      <c r="O33" s="49">
        <f aca="true" t="shared" si="10" ref="O33:O54">N33-M33</f>
        <v>1117.2399999999998</v>
      </c>
      <c r="P33" s="31">
        <f>N33/M33*100</f>
        <v>203.9776640297813</v>
      </c>
      <c r="Q33" s="31">
        <f>N33-1017.63</f>
        <v>1174.1099999999997</v>
      </c>
      <c r="R33" s="127">
        <f>N33/1017.63</f>
        <v>2.1537690516199404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18.55</v>
      </c>
      <c r="G36" s="43">
        <f t="shared" si="7"/>
        <v>18.55</v>
      </c>
      <c r="H36" s="35"/>
      <c r="I36" s="50">
        <f t="shared" si="8"/>
        <v>18.55</v>
      </c>
      <c r="J36" s="50"/>
      <c r="K36" s="50">
        <f>F36-214.58</f>
        <v>-196.03</v>
      </c>
      <c r="L36" s="50">
        <f>F36/214.58*100</f>
        <v>8.644794482244384</v>
      </c>
      <c r="M36" s="35">
        <f>E36-квітень!E58</f>
        <v>0</v>
      </c>
      <c r="N36" s="35">
        <f>F36-квітень!F58</f>
        <v>0.3100000000000023</v>
      </c>
      <c r="O36" s="47">
        <f t="shared" si="10"/>
        <v>0.3100000000000023</v>
      </c>
      <c r="P36" s="50"/>
      <c r="Q36" s="50">
        <f>N36-4.23</f>
        <v>-3.919999999999998</v>
      </c>
      <c r="R36" s="126">
        <f>N36/4.23</f>
        <v>0.0732860520094568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62.85</v>
      </c>
      <c r="G38" s="43">
        <f t="shared" si="7"/>
        <v>11.850000000000001</v>
      </c>
      <c r="H38" s="35">
        <f>F38/E38*100</f>
        <v>123.23529411764707</v>
      </c>
      <c r="I38" s="50">
        <f t="shared" si="8"/>
        <v>-77.15</v>
      </c>
      <c r="J38" s="50">
        <f t="shared" si="9"/>
        <v>44.892857142857146</v>
      </c>
      <c r="K38" s="50">
        <f>F38-47.09</f>
        <v>15.759999999999998</v>
      </c>
      <c r="L38" s="50">
        <f>F38/47.09*100</f>
        <v>133.4678275642387</v>
      </c>
      <c r="M38" s="35">
        <f>E38-квітень!E60</f>
        <v>14</v>
      </c>
      <c r="N38" s="35">
        <f>F38-квітень!F60</f>
        <v>21.6</v>
      </c>
      <c r="O38" s="47">
        <f t="shared" si="10"/>
        <v>7.600000000000001</v>
      </c>
      <c r="P38" s="50">
        <f>N38/M38*100</f>
        <v>154.2857142857143</v>
      </c>
      <c r="Q38" s="50">
        <f>N38-9.02</f>
        <v>12.580000000000002</v>
      </c>
      <c r="R38" s="126">
        <f>N38/9.02</f>
        <v>2.394678492239468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3983.81</v>
      </c>
      <c r="G40" s="43"/>
      <c r="H40" s="35"/>
      <c r="I40" s="50">
        <f t="shared" si="8"/>
        <v>3983.81</v>
      </c>
      <c r="J40" s="50"/>
      <c r="K40" s="50">
        <f>F40-0</f>
        <v>3983.81</v>
      </c>
      <c r="L40" s="50"/>
      <c r="M40" s="35">
        <f>E40-квітень!E67</f>
        <v>0</v>
      </c>
      <c r="N40" s="35">
        <f>F40-квітень!F67</f>
        <v>635.7799999999997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3282.14</v>
      </c>
      <c r="G42" s="43">
        <f t="shared" si="7"/>
        <v>2902.14</v>
      </c>
      <c r="H42" s="35">
        <f>F42/E42*100</f>
        <v>863.7210526315789</v>
      </c>
      <c r="I42" s="50">
        <f t="shared" si="8"/>
        <v>2182.14</v>
      </c>
      <c r="J42" s="50">
        <f t="shared" si="9"/>
        <v>298.37636363636364</v>
      </c>
      <c r="K42" s="50">
        <f>F42-350.98</f>
        <v>2931.16</v>
      </c>
      <c r="L42" s="50">
        <f>F42/350.98*100</f>
        <v>935.1359051797822</v>
      </c>
      <c r="M42" s="35">
        <f>E42-квітень!E69</f>
        <v>70</v>
      </c>
      <c r="N42" s="35">
        <f>F42-квітень!F69</f>
        <v>451.03999999999996</v>
      </c>
      <c r="O42" s="47">
        <f t="shared" si="10"/>
        <v>381.03999999999996</v>
      </c>
      <c r="P42" s="50">
        <f>N42/M42*100</f>
        <v>644.3428571428572</v>
      </c>
      <c r="Q42" s="50">
        <f>N42-79.51</f>
        <v>371.53</v>
      </c>
      <c r="R42" s="126">
        <f>N42/79.51</f>
        <v>5.672745566595396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387.74</v>
      </c>
      <c r="G43" s="135">
        <f t="shared" si="7"/>
        <v>57.74000000000001</v>
      </c>
      <c r="H43" s="137">
        <f>F43/E43*100</f>
        <v>117.4969696969697</v>
      </c>
      <c r="I43" s="136">
        <f t="shared" si="8"/>
        <v>-582.26</v>
      </c>
      <c r="J43" s="136">
        <f t="shared" si="9"/>
        <v>39.973195876288656</v>
      </c>
      <c r="K43" s="136">
        <f>F43-304.83</f>
        <v>82.91000000000003</v>
      </c>
      <c r="L43" s="136">
        <f>F43/304.83*100</f>
        <v>127.19876652560444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2848.93</v>
      </c>
      <c r="G46" s="135">
        <f t="shared" si="7"/>
        <v>2798.93</v>
      </c>
      <c r="H46" s="137">
        <f>F46/E46*100</f>
        <v>5697.86</v>
      </c>
      <c r="I46" s="136">
        <f t="shared" si="8"/>
        <v>2718.93</v>
      </c>
      <c r="J46" s="136">
        <f t="shared" si="9"/>
        <v>2191.484615384615</v>
      </c>
      <c r="K46" s="136">
        <f>F46-46.16</f>
        <v>2802.77</v>
      </c>
      <c r="L46" s="136">
        <f>F46/46.16*100</f>
        <v>6171.858752166378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1772.45</v>
      </c>
      <c r="G48" s="43">
        <f t="shared" si="7"/>
        <v>102.45000000000005</v>
      </c>
      <c r="H48" s="35">
        <f>F48/E48*100</f>
        <v>106.13473053892216</v>
      </c>
      <c r="I48" s="50">
        <f t="shared" si="8"/>
        <v>-2427.55</v>
      </c>
      <c r="J48" s="50">
        <f>F48/D48*100</f>
        <v>42.201190476190476</v>
      </c>
      <c r="K48" s="50">
        <f>F48-1649.93</f>
        <v>122.51999999999998</v>
      </c>
      <c r="L48" s="50">
        <f>F48/1649.93*100</f>
        <v>107.4257695781033</v>
      </c>
      <c r="M48" s="35">
        <f>E48-квітень!E72</f>
        <v>400</v>
      </c>
      <c r="N48" s="35">
        <f>F48-квітень!F72</f>
        <v>336.69000000000005</v>
      </c>
      <c r="O48" s="47">
        <f t="shared" si="10"/>
        <v>-63.309999999999945</v>
      </c>
      <c r="P48" s="50">
        <f aca="true" t="shared" si="11" ref="P48:P53">N48/M48*100</f>
        <v>84.17250000000001</v>
      </c>
      <c r="Q48" s="50">
        <f>N48-277.38</f>
        <v>59.31000000000006</v>
      </c>
      <c r="R48" s="126">
        <f>N48/277.38</f>
        <v>1.2138221933809217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430.7</v>
      </c>
      <c r="G51" s="135">
        <f t="shared" si="7"/>
        <v>430.7</v>
      </c>
      <c r="H51" s="137"/>
      <c r="I51" s="136">
        <f t="shared" si="8"/>
        <v>430.7</v>
      </c>
      <c r="J51" s="136"/>
      <c r="K51" s="136">
        <f>F51-290</f>
        <v>140.7</v>
      </c>
      <c r="L51" s="138">
        <f>F51/290*100</f>
        <v>148.51724137931035</v>
      </c>
      <c r="M51" s="35">
        <f>E51-квітень!E75</f>
        <v>0</v>
      </c>
      <c r="N51" s="35">
        <f>F51-квітень!F75</f>
        <v>115</v>
      </c>
      <c r="O51" s="138">
        <f t="shared" si="10"/>
        <v>115</v>
      </c>
      <c r="P51" s="136"/>
      <c r="Q51" s="50">
        <f>N51-64.93</f>
        <v>50.06999999999999</v>
      </c>
      <c r="R51" s="126">
        <f>N51/64.93</f>
        <v>1.7711381487756044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250136.86999999997</v>
      </c>
      <c r="G55" s="44">
        <f>F55-E55</f>
        <v>21437.569999999978</v>
      </c>
      <c r="H55" s="45">
        <f>F55/E55*100</f>
        <v>109.37369287968961</v>
      </c>
      <c r="I55" s="31">
        <f>F55-D55</f>
        <v>-279885.73</v>
      </c>
      <c r="J55" s="31">
        <f>F55/D55*100</f>
        <v>47.193623441717385</v>
      </c>
      <c r="K55" s="31">
        <f>K8+K33+K53+K54</f>
        <v>49125.95000000001</v>
      </c>
      <c r="L55" s="31">
        <f>(K55/(F55+K55))*100</f>
        <v>16.415654306806314</v>
      </c>
      <c r="M55" s="18">
        <f>M8+M33+M53+M54</f>
        <v>47207.47</v>
      </c>
      <c r="N55" s="18">
        <f>N8+N33+N53+N54</f>
        <v>41159.579999999994</v>
      </c>
      <c r="O55" s="49">
        <f>N55-M55</f>
        <v>-6047.890000000007</v>
      </c>
      <c r="P55" s="31">
        <f>N55/M55*100</f>
        <v>87.18870127969153</v>
      </c>
      <c r="Q55" s="31">
        <f>N55-34768</f>
        <v>6391.5799999999945</v>
      </c>
      <c r="R55" s="171">
        <f>N55/34768</f>
        <v>1.1838351357570178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-19.38</v>
      </c>
      <c r="G61" s="43">
        <f aca="true" t="shared" si="12" ref="G61:G68">F61-E61</f>
        <v>-19.38</v>
      </c>
      <c r="H61" s="35"/>
      <c r="I61" s="53">
        <f aca="true" t="shared" si="13" ref="I61:I68">F61-D61</f>
        <v>-19.38</v>
      </c>
      <c r="J61" s="53"/>
      <c r="K61" s="47">
        <f>F61-119.54</f>
        <v>-138.92000000000002</v>
      </c>
      <c r="L61" s="53"/>
      <c r="M61" s="35">
        <f>E61-березень!E87</f>
        <v>0</v>
      </c>
      <c r="N61" s="35">
        <f>F61-квітень!F85</f>
        <v>-4.729999999999999</v>
      </c>
      <c r="O61" s="47">
        <f aca="true" t="shared" si="14" ref="O61:O68">N61-M61</f>
        <v>-4.729999999999999</v>
      </c>
      <c r="P61" s="53"/>
      <c r="Q61" s="53">
        <f>N61-24.53</f>
        <v>-29.259999999999998</v>
      </c>
      <c r="R61" s="129">
        <f>N61/24.53</f>
        <v>-0.19282511210762326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-19.38</v>
      </c>
      <c r="G62" s="55">
        <f t="shared" si="12"/>
        <v>-19.38</v>
      </c>
      <c r="H62" s="65"/>
      <c r="I62" s="54">
        <f t="shared" si="13"/>
        <v>-19.38</v>
      </c>
      <c r="J62" s="54"/>
      <c r="K62" s="54">
        <f>K60+K61</f>
        <v>-137.82000000000002</v>
      </c>
      <c r="L62" s="54"/>
      <c r="M62" s="55">
        <f>M61</f>
        <v>0</v>
      </c>
      <c r="N62" s="33">
        <f>SUM(N60:N61)</f>
        <v>-13.479999999999999</v>
      </c>
      <c r="O62" s="54">
        <f t="shared" si="14"/>
        <v>-13.479999999999999</v>
      </c>
      <c r="P62" s="54"/>
      <c r="Q62" s="54">
        <f>N62-92.85</f>
        <v>-106.33</v>
      </c>
      <c r="R62" s="130">
        <f>N62/92.85</f>
        <v>-0.1451803984921917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2081.26</v>
      </c>
      <c r="G65" s="43">
        <f t="shared" si="12"/>
        <v>17.600000000000364</v>
      </c>
      <c r="H65" s="35">
        <f>F65/E65*100</f>
        <v>100.85285366775535</v>
      </c>
      <c r="I65" s="53">
        <f t="shared" si="13"/>
        <v>-9494.74</v>
      </c>
      <c r="J65" s="53">
        <f t="shared" si="15"/>
        <v>17.979094678645474</v>
      </c>
      <c r="K65" s="53">
        <f>F65-2070.75</f>
        <v>10.510000000000218</v>
      </c>
      <c r="L65" s="53">
        <f>F65/2070.75*100</f>
        <v>100.50754557527466</v>
      </c>
      <c r="M65" s="35">
        <f>E65-квітень!E89</f>
        <v>564.6799999999998</v>
      </c>
      <c r="N65" s="35">
        <f>F65-квітень!F89</f>
        <v>143.20000000000027</v>
      </c>
      <c r="O65" s="47">
        <f t="shared" si="14"/>
        <v>-421.47999999999956</v>
      </c>
      <c r="P65" s="53">
        <f>N65/M65*100</f>
        <v>25.359495643550385</v>
      </c>
      <c r="Q65" s="53">
        <f>N65-450.01</f>
        <v>-306.8099999999997</v>
      </c>
      <c r="R65" s="129">
        <f>N65/450.01</f>
        <v>0.31821515077442786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3943.42</v>
      </c>
      <c r="G67" s="55">
        <f t="shared" si="12"/>
        <v>887.3600000000001</v>
      </c>
      <c r="H67" s="65">
        <f>F67/E67*100</f>
        <v>129.036079134572</v>
      </c>
      <c r="I67" s="54">
        <f t="shared" si="13"/>
        <v>-13132.58</v>
      </c>
      <c r="J67" s="54">
        <f t="shared" si="15"/>
        <v>23.093347388147105</v>
      </c>
      <c r="K67" s="54">
        <f>K64+K65+K66</f>
        <v>-440.0499999999997</v>
      </c>
      <c r="L67" s="54"/>
      <c r="M67" s="55">
        <f>M64+M65+M66</f>
        <v>1042.7799999999997</v>
      </c>
      <c r="N67" s="55">
        <f>N64+N65+N66</f>
        <v>1879.5000000000002</v>
      </c>
      <c r="O67" s="54">
        <f t="shared" si="14"/>
        <v>836.7200000000005</v>
      </c>
      <c r="P67" s="54">
        <f>N67/M67*100</f>
        <v>180.23936017184838</v>
      </c>
      <c r="Q67" s="54">
        <f>N67-7985.28</f>
        <v>-6105.78</v>
      </c>
      <c r="R67" s="173">
        <f>N67/7985.28</f>
        <v>0.23537058187064203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0.83</v>
      </c>
      <c r="G70" s="43">
        <f>F70-E70</f>
        <v>0.83</v>
      </c>
      <c r="H70" s="35"/>
      <c r="I70" s="53">
        <f>F70-D70</f>
        <v>0.83</v>
      </c>
      <c r="J70" s="53"/>
      <c r="K70" s="53">
        <f>F70-0.04</f>
        <v>0.7899999999999999</v>
      </c>
      <c r="L70" s="53">
        <f>F70/0.04*100</f>
        <v>2075</v>
      </c>
      <c r="M70" s="35">
        <f>E70-квітень!E95</f>
        <v>0</v>
      </c>
      <c r="N70" s="35">
        <f>F70-квітень!F95</f>
        <v>0.13</v>
      </c>
      <c r="O70" s="47">
        <f>N70-M70</f>
        <v>0.13</v>
      </c>
      <c r="P70" s="53"/>
      <c r="Q70" s="53">
        <f>N70-(-0.21)</f>
        <v>0.33999999999999997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0.83</v>
      </c>
      <c r="G71" s="55">
        <f>F71-E71</f>
        <v>-20.17</v>
      </c>
      <c r="H71" s="65"/>
      <c r="I71" s="54">
        <f>F71-D71</f>
        <v>-53.17</v>
      </c>
      <c r="J71" s="54">
        <f>F71/D71*100</f>
        <v>1.537037037037037</v>
      </c>
      <c r="K71" s="54">
        <f>K68+K69+K70</f>
        <v>-27.680000000000003</v>
      </c>
      <c r="L71" s="54"/>
      <c r="M71" s="55">
        <f>M68+M70+M69</f>
        <v>2</v>
      </c>
      <c r="N71" s="55">
        <f>N68+N70+N69</f>
        <v>0.13</v>
      </c>
      <c r="O71" s="54">
        <f>N71-M71</f>
        <v>-1.87</v>
      </c>
      <c r="P71" s="54"/>
      <c r="Q71" s="54">
        <f>N71-26.38</f>
        <v>-26.25</v>
      </c>
      <c r="R71" s="128">
        <f>N71/26.38</f>
        <v>0.0049279757391963615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13.67</v>
      </c>
      <c r="G72" s="43">
        <f>F72-E72</f>
        <v>-0.11999999999999922</v>
      </c>
      <c r="H72" s="35">
        <f>F72/E72*100</f>
        <v>99.12980420594634</v>
      </c>
      <c r="I72" s="53">
        <f>F72-D72</f>
        <v>-28.33</v>
      </c>
      <c r="J72" s="53">
        <f>F72/D72*100</f>
        <v>32.54761904761905</v>
      </c>
      <c r="K72" s="53">
        <f>F72-13.15</f>
        <v>0.5199999999999996</v>
      </c>
      <c r="L72" s="53">
        <f>F72/13.15*100</f>
        <v>103.95437262357414</v>
      </c>
      <c r="M72" s="35">
        <f>E72-квітень!E97</f>
        <v>1</v>
      </c>
      <c r="N72" s="35">
        <f>F72-квітень!F97</f>
        <v>0.28999999999999915</v>
      </c>
      <c r="O72" s="47">
        <f>N72-M72</f>
        <v>-0.7100000000000009</v>
      </c>
      <c r="P72" s="53">
        <f>N72/M72*100</f>
        <v>28.999999999999915</v>
      </c>
      <c r="Q72" s="53">
        <f>N72-0.45</f>
        <v>-0.16000000000000086</v>
      </c>
      <c r="R72" s="129">
        <f>N72/0.45</f>
        <v>0.6444444444444425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3938.74</v>
      </c>
      <c r="G74" s="44">
        <f>F74-E74</f>
        <v>847.8899999999999</v>
      </c>
      <c r="H74" s="45">
        <f>F74/E74*100</f>
        <v>127.43225973437727</v>
      </c>
      <c r="I74" s="31">
        <f>F74-D74</f>
        <v>-13233.26</v>
      </c>
      <c r="J74" s="31">
        <f>F74/D74*100</f>
        <v>22.936990449569063</v>
      </c>
      <c r="K74" s="31">
        <f>K62+K67+K71+K72</f>
        <v>-605.0299999999997</v>
      </c>
      <c r="L74" s="31"/>
      <c r="M74" s="27">
        <f>M62+M72+M67+M71</f>
        <v>1045.7799999999997</v>
      </c>
      <c r="N74" s="27">
        <f>N62+N72+N67+N71+N73</f>
        <v>1866.4400000000003</v>
      </c>
      <c r="O74" s="31">
        <f>N74-M74</f>
        <v>820.6600000000005</v>
      </c>
      <c r="P74" s="31">
        <f>N74/M74*100</f>
        <v>178.4734839067491</v>
      </c>
      <c r="Q74" s="31">
        <f>N74-8104.96</f>
        <v>-6238.5199999999995</v>
      </c>
      <c r="R74" s="127">
        <f>N74/8104.96</f>
        <v>0.23028367814276693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254075.60999999996</v>
      </c>
      <c r="G75" s="44">
        <f>F75-E75</f>
        <v>22285.459999999963</v>
      </c>
      <c r="H75" s="45">
        <f>F75/E75*100</f>
        <v>109.61449828648885</v>
      </c>
      <c r="I75" s="31">
        <f>F75-D75</f>
        <v>-293118.99</v>
      </c>
      <c r="J75" s="31">
        <f>F75/D75*100</f>
        <v>46.43240448644777</v>
      </c>
      <c r="K75" s="31">
        <f>K55+K74</f>
        <v>48520.92000000001</v>
      </c>
      <c r="L75" s="31"/>
      <c r="M75" s="18">
        <f>M55+M74</f>
        <v>48253.25</v>
      </c>
      <c r="N75" s="18">
        <f>N55+N74</f>
        <v>43026.02</v>
      </c>
      <c r="O75" s="31">
        <f>N75-M75</f>
        <v>-5227.230000000003</v>
      </c>
      <c r="P75" s="31">
        <f>N75/M75*100</f>
        <v>89.16709237201638</v>
      </c>
      <c r="Q75" s="31">
        <f>N75-42872.96</f>
        <v>153.05999999999767</v>
      </c>
      <c r="R75" s="127">
        <f>N75/42872.96</f>
        <v>1.0035700824015883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3</v>
      </c>
      <c r="D77" s="4" t="s">
        <v>118</v>
      </c>
    </row>
    <row r="78" spans="2:17" ht="31.5">
      <c r="B78" s="71" t="s">
        <v>154</v>
      </c>
      <c r="C78" s="34">
        <f>IF(O55&lt;0,ABS(O55/C77),0)</f>
        <v>2015.9633333333356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42150</v>
      </c>
      <c r="D79" s="34">
        <v>3050.2</v>
      </c>
      <c r="N79" s="232"/>
      <c r="O79" s="232"/>
    </row>
    <row r="80" spans="3:15" ht="15.75">
      <c r="C80" s="111">
        <v>42149</v>
      </c>
      <c r="D80" s="34">
        <v>1335.1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42146</v>
      </c>
      <c r="D81" s="34">
        <v>2907.9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154128.69457</v>
      </c>
      <c r="E83" s="73"/>
      <c r="F83" s="156" t="s">
        <v>147</v>
      </c>
      <c r="G83" s="238" t="s">
        <v>149</v>
      </c>
      <c r="H83" s="238"/>
      <c r="I83" s="107">
        <v>145218.96235999998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4" t="s">
        <v>161</v>
      </c>
      <c r="K104" s="254"/>
      <c r="L104" s="254"/>
      <c r="M104" s="254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4" t="s">
        <v>161</v>
      </c>
      <c r="K139" s="254"/>
      <c r="L139" s="254"/>
      <c r="M139" s="254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2015-05-27T08:37:35Z</cp:lastPrinted>
  <dcterms:created xsi:type="dcterms:W3CDTF">2003-07-28T11:27:56Z</dcterms:created>
  <dcterms:modified xsi:type="dcterms:W3CDTF">2015-05-27T08:47:36Z</dcterms:modified>
  <cp:category/>
  <cp:version/>
  <cp:contentType/>
  <cp:contentStatus/>
</cp:coreProperties>
</file>